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8_{FD7DEC38-7605-498D-BF40-15E5C0D2FA14}" xr6:coauthVersionLast="47" xr6:coauthVersionMax="47" xr10:uidLastSave="{00000000-0000-0000-0000-000000000000}"/>
  <workbookProtection lockStructure="1"/>
  <bookViews>
    <workbookView xWindow="-120" yWindow="-120" windowWidth="20730" windowHeight="1116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<sst xmlns="http://schemas.openxmlformats.org/spreadsheetml/2006/main" count="7234" uniqueCount="976">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</sst>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49"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V17" sqref="V17:Y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v>6</v>
      </c>
      <c r="P16" s="731" t="s">
        <v>7</v>
      </c>
      <c r="Q16" s="754">
        <v>4</v>
      </c>
      <c r="R16" s="731" t="s">
        <v>8</v>
      </c>
      <c r="S16" s="755">
        <v>1</v>
      </c>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f>IF(OR(O16="",Q16=""),"", IF(O16&lt;20,DATE(O16+118,Q16,IF(S16="",1,S16)),DATE(O16+88,Q16,IF(S16="",1,S16))))</f>
        <v>45383</v>
      </c>
      <c r="AW16" s="821" t="str">
        <f>IF(AV16&lt;=設定シート!C$15,"昔",IF(OR(LEFT($F$26,2)="31",LEFT($F$26,2)="34",LEFT($F$26,2)="36",LEFT($F$26,2)="37"),IF(AV16&lt;=設定シート!E$23,"1",IF(AV16&lt;=設定シート!G$23,"2",IF(AV16&lt;=設定シート!M$23,"3","4"))),IF(AV16&lt;=設定シート!E$15,"1",IF(AV16&lt;=設定シート!G$15,"2","3"))))</f>
        <v>4</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19</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2024</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対象年1_3月</v>
      </c>
      <c r="BW16" s="3"/>
      <c r="BX16" s="3"/>
      <c r="BY16" s="3"/>
    </row>
    <row r="17" spans="2:74" ht="18" customHeight="1">
      <c r="B17" s="895"/>
      <c r="C17" s="896"/>
      <c r="D17" s="896"/>
      <c r="E17" s="896"/>
      <c r="F17" s="896"/>
      <c r="G17" s="896"/>
      <c r="H17" s="896"/>
      <c r="I17" s="897"/>
      <c r="J17" s="895"/>
      <c r="K17" s="896"/>
      <c r="L17" s="896"/>
      <c r="M17" s="896"/>
      <c r="N17" s="899"/>
      <c r="O17" s="219">
        <v>7</v>
      </c>
      <c r="P17" s="11" t="s">
        <v>7</v>
      </c>
      <c r="Q17" s="23">
        <v>3</v>
      </c>
      <c r="R17" s="11" t="s">
        <v>8</v>
      </c>
      <c r="S17" s="220">
        <v>31</v>
      </c>
      <c r="T17" s="906" t="s">
        <v>28</v>
      </c>
      <c r="U17" s="906"/>
      <c r="V17" s="910">
        <v>200000</v>
      </c>
      <c r="W17" s="911"/>
      <c r="X17" s="911"/>
      <c r="Y17" s="911"/>
      <c r="Z17" s="910"/>
      <c r="AA17" s="911"/>
      <c r="AB17" s="911"/>
      <c r="AC17" s="911"/>
      <c r="AD17" s="910"/>
      <c r="AE17" s="911"/>
      <c r="AF17" s="911"/>
      <c r="AG17" s="1002"/>
      <c r="AH17" s="861">
        <f>IF(V16="賃金で算定",0,V17+Z17-AD17)</f>
        <v>200000</v>
      </c>
      <c r="AI17" s="861"/>
      <c r="AJ17" s="861"/>
      <c r="AK17" s="891"/>
      <c r="AL17" s="865">
        <f>IF(V16="賃金で算定","賃金で算定",IF(OR(V17=0,$F$26="",AV16=""),0,IF(OR(LEFT($F$26,2)="31",LEFT($F$26,2)="34",LEFT($F$26,2)="36",LEFT($F$26,2)="37"),VLOOKUP($F$26,労務比率2,AX16,FALSE),VLOOKUP($F$26,労務比率,AX16,FALSE))))</f>
        <v>23</v>
      </c>
      <c r="AM17" s="866"/>
      <c r="AN17" s="862">
        <f>IF(V16="賃金で算定",0,INT(AH17*AL17/100))</f>
        <v>46000</v>
      </c>
      <c r="AO17" s="863"/>
      <c r="AP17" s="863"/>
      <c r="AQ17" s="863"/>
      <c r="AR17" s="863"/>
      <c r="AS17" s="685"/>
      <c r="AV17" s="24"/>
      <c r="AW17" s="25"/>
      <c r="AY17" s="462">
        <f>AH17</f>
        <v>200000</v>
      </c>
      <c r="AZ17" s="461">
        <f>IF(AV16&lt;=設定シート!C$101,AH17,IF(AND(AV16&gt;=設定シート!E$101,AV16&lt;=設定シート!G$101),AH17*105/108,AH17))</f>
        <v>200000</v>
      </c>
      <c r="BA17" s="460"/>
      <c r="BB17" s="461">
        <f>IF($AL17="賃金で算定",0,INT(AY17*$AL17/100))</f>
        <v>46000</v>
      </c>
      <c r="BC17" s="461">
        <f>IF(AY17=AZ17,BB17,AZ17*$AL17/100)</f>
        <v>46000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4</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19</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4</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19</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4</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19</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4</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19</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t="s">
        <v>108</v>
      </c>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46000</v>
      </c>
      <c r="BC26" s="762">
        <f>SUMIF(BL17:BL25,0,BC17:BC25)+ROUNDDOWN(ROUNDDOWN(BL26*105/108,0)*BM26/100,0)</f>
        <v>46000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200000</v>
      </c>
      <c r="W27" s="1062"/>
      <c r="X27" s="1062"/>
      <c r="Y27" s="1065"/>
      <c r="Z27" s="860">
        <f>Z17+Z19+Z21+Z23+Z25</f>
        <v>0</v>
      </c>
      <c r="AA27" s="1060"/>
      <c r="AB27" s="1060"/>
      <c r="AC27" s="1061"/>
      <c r="AD27" s="860">
        <f>AD17+AD19+AD21+AD23+AD25</f>
        <v>0</v>
      </c>
      <c r="AE27" s="1060"/>
      <c r="AF27" s="1060"/>
      <c r="AG27" s="1061"/>
      <c r="AH27" s="860">
        <f>AY27</f>
        <v>200000</v>
      </c>
      <c r="AI27" s="861"/>
      <c r="AJ27" s="861"/>
      <c r="AK27" s="861"/>
      <c r="AL27" s="742"/>
      <c r="AM27" s="743"/>
      <c r="AN27" s="860">
        <f>BB27</f>
        <v>46000</v>
      </c>
      <c r="AO27" s="1062"/>
      <c r="AP27" s="1062"/>
      <c r="AQ27" s="1062"/>
      <c r="AR27" s="1062"/>
      <c r="AS27" s="744"/>
      <c r="AV27" s="22"/>
      <c r="AW27" s="22"/>
      <c r="AY27" s="779">
        <f>AY17+AY19+AY21+AY23+AY25</f>
        <v>200000</v>
      </c>
      <c r="AZ27" s="780"/>
      <c r="BA27" s="780"/>
      <c r="BB27" s="781">
        <f>BB26</f>
        <v>46000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disablePrompts="1"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6</v>
      </c>
      <c r="P16" s="731" t="s">
        <v>7</v>
      </c>
      <c r="Q16" s="730">
        <f>'報告書（事業主控）'!Q16</f>
        <v>4</v>
      </c>
      <c r="R16" s="731" t="s">
        <v>8</v>
      </c>
      <c r="S16" s="730">
        <f>'報告書（事業主控）'!S16</f>
        <v>1</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7</v>
      </c>
      <c r="P17" s="11" t="s">
        <v>7</v>
      </c>
      <c r="Q17" s="32">
        <f>'報告書（事業主控）'!Q17</f>
        <v>3</v>
      </c>
      <c r="R17" s="11" t="s">
        <v>8</v>
      </c>
      <c r="S17" s="32">
        <f>'報告書（事業主控）'!S17</f>
        <v>31</v>
      </c>
      <c r="T17" s="906" t="s">
        <v>28</v>
      </c>
      <c r="U17" s="906"/>
      <c r="V17" s="1091">
        <f>'報告書（事業主控）'!V17</f>
        <v>200000</v>
      </c>
      <c r="W17" s="1092"/>
      <c r="X17" s="1092"/>
      <c r="Y17" s="1092"/>
      <c r="Z17" s="1091">
        <f>'報告書（事業主控）'!Z17</f>
        <v>0</v>
      </c>
      <c r="AA17" s="1092"/>
      <c r="AB17" s="1092"/>
      <c r="AC17" s="1092"/>
      <c r="AD17" s="1091">
        <f>'報告書（事業主控）'!AD17</f>
        <v>0</v>
      </c>
      <c r="AE17" s="1092"/>
      <c r="AF17" s="1092"/>
      <c r="AG17" s="1092"/>
      <c r="AH17" s="1091">
        <f>'報告書（事業主控）'!AH17</f>
        <v>200000</v>
      </c>
      <c r="AI17" s="1092"/>
      <c r="AJ17" s="1092"/>
      <c r="AK17" s="1099"/>
      <c r="AL17" s="865">
        <f>'報告書（事業主控）'!AL17</f>
        <v>23</v>
      </c>
      <c r="AM17" s="1098"/>
      <c r="AN17" s="1089">
        <f>'報告書（事業主控）'!AN17</f>
        <v>46000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t="str">
        <f>'報告書（事業主控）'!F26</f>
        <v>37 その他の建設事業</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200000</v>
      </c>
      <c r="W27" s="1062"/>
      <c r="X27" s="1062"/>
      <c r="Y27" s="1065"/>
      <c r="Z27" s="860">
        <f>'報告書（事業主控）'!Z27</f>
        <v>0</v>
      </c>
      <c r="AA27" s="1060"/>
      <c r="AB27" s="1060"/>
      <c r="AC27" s="1061"/>
      <c r="AD27" s="860">
        <f>'報告書（事業主控）'!AD27</f>
        <v>0</v>
      </c>
      <c r="AE27" s="1060"/>
      <c r="AF27" s="1060"/>
      <c r="AG27" s="1061"/>
      <c r="AH27" s="860">
        <f>'報告書（事業主控）'!AH27</f>
        <v>200000</v>
      </c>
      <c r="AI27" s="861"/>
      <c r="AJ27" s="861"/>
      <c r="AK27" s="861"/>
      <c r="AL27" s="742"/>
      <c r="AM27" s="743"/>
      <c r="AN27" s="860">
        <f>'報告書（事業主控）'!AN27</f>
        <v>46000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46</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690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200000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200000</v>
      </c>
      <c r="U82" s="1375"/>
      <c r="V82" s="1375"/>
      <c r="W82" s="1375"/>
      <c r="X82" s="1375"/>
      <c r="Y82" s="1375"/>
      <c r="Z82" s="1375"/>
      <c r="AA82" s="1375"/>
      <c r="AB82" s="1376"/>
      <c r="AC82" s="46"/>
      <c r="AD82" s="1377"/>
      <c r="AE82" s="1378"/>
      <c r="AF82" s="690"/>
      <c r="AG82" s="1488">
        <f>SUM(AG16:AM81)</f>
        <v>46</v>
      </c>
      <c r="AH82" s="1303"/>
      <c r="AI82" s="1303"/>
      <c r="AJ82" s="1303"/>
      <c r="AK82" s="1303"/>
      <c r="AL82" s="1303"/>
      <c r="AM82" s="1304"/>
      <c r="AN82" s="1495"/>
      <c r="AO82" s="1313"/>
      <c r="AP82" s="1299"/>
      <c r="AQ82" s="1300"/>
      <c r="AR82" s="1301"/>
      <c r="AS82" s="1299"/>
      <c r="AT82" s="1300"/>
      <c r="AU82" s="1301"/>
      <c r="AV82" s="1488">
        <f>SUM(AV16:BD81)</f>
        <v>690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46</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46</v>
      </c>
      <c r="AH174" s="1286"/>
      <c r="AI174" s="1286"/>
      <c r="AJ174" s="1286"/>
      <c r="AK174" s="1286"/>
      <c r="AL174" s="1286"/>
      <c r="AM174" s="1287"/>
      <c r="AN174" s="61"/>
      <c r="AO174" s="61"/>
      <c r="AP174" s="1200"/>
      <c r="AQ174" s="1205"/>
      <c r="AR174" s="1185"/>
      <c r="AS174" s="1258" t="str">
        <f>AS78</f>
        <v/>
      </c>
      <c r="AT174" s="1259"/>
      <c r="AU174" s="1260"/>
      <c r="AV174" s="1285">
        <f>AV78</f>
        <v>690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200000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200000</v>
      </c>
      <c r="U178" s="1375"/>
      <c r="V178" s="1375"/>
      <c r="W178" s="1375"/>
      <c r="X178" s="1375"/>
      <c r="Y178" s="1375"/>
      <c r="Z178" s="1375"/>
      <c r="AA178" s="1375"/>
      <c r="AB178" s="1376"/>
      <c r="AC178" s="46"/>
      <c r="AD178" s="1377"/>
      <c r="AE178" s="1378"/>
      <c r="AF178" s="690"/>
      <c r="AG178" s="1302">
        <f>AG82</f>
        <v>46</v>
      </c>
      <c r="AH178" s="1303"/>
      <c r="AI178" s="1303"/>
      <c r="AJ178" s="1303"/>
      <c r="AK178" s="1303"/>
      <c r="AL178" s="1303"/>
      <c r="AM178" s="1304"/>
      <c r="AN178" s="1312"/>
      <c r="AO178" s="1313"/>
      <c r="AP178" s="1299"/>
      <c r="AQ178" s="1300"/>
      <c r="AR178" s="1301"/>
      <c r="AS178" s="1299"/>
      <c r="AT178" s="1300"/>
      <c r="AU178" s="1301"/>
      <c r="AV178" s="1302">
        <f>AV82</f>
        <v>690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46</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6</v>
      </c>
      <c r="CQ61" s="1892"/>
      <c r="CR61" s="1892"/>
      <c r="CS61" s="1892" t="str">
        <f>IF(ISERROR(MID('保険料計算シート（非表示）'!O5,LEN('保険料計算シート（非表示）'!O5)-1,1)),"",MID('保険料計算シート（非表示）'!O5,LEN('保険料計算シート（非表示）'!O5)-1,1))</f>
        <v>9</v>
      </c>
      <c r="CT61" s="1892"/>
      <c r="CU61" s="1892"/>
      <c r="CV61" s="1892" t="str">
        <f>IF('保険料計算シート（非表示）'!O5=0,"",IF(ISERROR(MID('保険料計算シート（非表示）'!O5,LEN('保険料計算シート（非表示）'!O5),1)),"",MID('保険料計算シート（非表示）'!O5,LEN('保険料計算シート（非表示）'!O5),1)))</f>
        <v>0</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4</v>
      </c>
      <c r="AR66" s="1892"/>
      <c r="AS66" s="1892"/>
      <c r="AT66" s="1892" t="str">
        <f>IF('保険料計算シート（非表示）'!M5=0,"",IF(ISERROR(MID('保険料計算シート（非表示）'!M5,LEN('保険料計算シート（非表示）'!M5),1)),"",MID('保険料計算シート（非表示）'!M5,LEN('保険料計算シート（非表示）'!M5),1)))</f>
        <v>6</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6</v>
      </c>
      <c r="CQ66" s="1892"/>
      <c r="CR66" s="1892"/>
      <c r="CS66" s="1892" t="str">
        <f>CS61</f>
        <v>9</v>
      </c>
      <c r="CT66" s="1892"/>
      <c r="CU66" s="1892"/>
      <c r="CV66" s="1892" t="str">
        <f>CV61</f>
        <v>0</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4</v>
      </c>
      <c r="AR76" s="1892"/>
      <c r="AS76" s="1892"/>
      <c r="AT76" s="1892" t="str">
        <f>IF('保険料計算シート（非表示）'!M10=0,"",IF(ISERROR(MID('保険料計算シート（非表示）'!M10,LEN('保険料計算シート（非表示）'!M10),1)),"",MID('保険料計算シート（非表示）'!M10,LEN('保険料計算シート（非表示）'!M10),1)))</f>
        <v>6</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6</v>
      </c>
      <c r="CQ88" s="1892"/>
      <c r="CR88" s="1892"/>
      <c r="CS88" s="1892" t="str">
        <f>CS93</f>
        <v>9</v>
      </c>
      <c r="CT88" s="1892"/>
      <c r="CU88" s="1892"/>
      <c r="CV88" s="1892" t="str">
        <f>CV93</f>
        <v>0</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4</v>
      </c>
      <c r="AR93" s="1892"/>
      <c r="AS93" s="1892"/>
      <c r="AT93" s="1892" t="str">
        <f>IF('保険料計算シート（非表示）'!M13=0,"",IF(ISERROR(MID('保険料計算シート（非表示）'!M13,LEN('保険料計算シート（非表示）'!M13),1)),"",MID('保険料計算シート（非表示）'!M13,LEN('保険料計算シート（非表示）'!M13),1)))</f>
        <v>6</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6</v>
      </c>
      <c r="CQ93" s="1892"/>
      <c r="CR93" s="1892"/>
      <c r="CS93" s="1892" t="str">
        <f>IF(ISERROR(MID('保険料計算シート（非表示）'!O14,LEN('保険料計算シート（非表示）'!O14)-1,1)),"",MID('保険料計算シート（非表示）'!O14,LEN('保険料計算シート（非表示）'!O14)-1,1))</f>
        <v>9</v>
      </c>
      <c r="CT93" s="1892"/>
      <c r="CU93" s="1892"/>
      <c r="CV93" s="1892" t="str">
        <f>IF('保険料計算シート（非表示）'!O14=0,"",IF(ISERROR(MID('保険料計算シート（非表示）'!O14,LEN('保険料計算シート（非表示）'!O14),1)),"",MID('保険料計算シート（非表示）'!O14,LEN('保険料計算シート（非表示）'!O14),1)))</f>
        <v>0</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690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690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690</v>
      </c>
      <c r="AN137" s="1845"/>
      <c r="AO137" s="1845"/>
      <c r="AP137" s="1845"/>
      <c r="AQ137" s="1845"/>
      <c r="AR137" s="1845"/>
      <c r="AS137" s="1845"/>
      <c r="AT137" s="1845"/>
      <c r="AU137" s="1845"/>
      <c r="AV137" s="1845"/>
      <c r="AW137" s="1845"/>
      <c r="AX137" s="1845"/>
      <c r="AY137" s="430"/>
      <c r="AZ137" s="169"/>
      <c r="BA137" s="1858">
        <f>'保険料計算シート（非表示）'!Y5</f>
        <v>1380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1380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690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Ұ</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1</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3</v>
      </c>
      <c r="CY184" s="1610"/>
      <c r="CZ184" s="1610"/>
      <c r="DA184" s="1610" t="str">
        <f>IF('保険料計算シート（非表示）'!O25&lt;10,"Ұ",IF(ISERROR(MID('保険料計算シート（非表示）'!O25,LEN('保険料計算シート（非表示）'!O25)-1,1)),"",MID('保険料計算シート（非表示）'!O25,LEN('保険料計算シート（非表示）'!O25)-1,1)))</f>
        <v>8</v>
      </c>
      <c r="DB184" s="1610"/>
      <c r="DC184" s="1610"/>
      <c r="DD184" s="1638" t="str">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Ұ</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1</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3</v>
      </c>
      <c r="CY194" s="1542"/>
      <c r="CZ194" s="1543"/>
      <c r="DA194" s="1541" t="str">
        <f>IF('保険料計算シート（非表示）'!R25&lt;10,"Ұ",IF(ISERROR(MID('保険料計算シート（非表示）'!R25,LEN('保険料計算シート（非表示）'!R25)-1,1)),"",MID('保険料計算シート（非表示）'!R25,LEN('保険料計算シート（非表示）'!R25)-1,1)))</f>
        <v>8</v>
      </c>
      <c r="DB194" s="1542"/>
      <c r="DC194" s="1543"/>
      <c r="DD194" s="1559" t="str">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Y124:BA126">
    <cfRule type="expression" dxfId="2021" priority="7" stopIfTrue="1">
      <formula>AND($CD$129="充当を優先（残額は還付）",$AY$124="")</formula>
    </cfRule>
  </conditionalFormatting>
  <conditionalFormatting sqref="AM143:AX145 AM149:AX151">
    <cfRule type="expression" dxfId="202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6</v>
      </c>
      <c r="CC19" s="2483"/>
      <c r="CD19" s="2483" t="str">
        <f>申告書記入イメージ!CS61</f>
        <v>9</v>
      </c>
      <c r="CE19" s="2483"/>
      <c r="CF19" s="2483" t="str">
        <f>申告書記入イメージ!CV61</f>
        <v>0</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4</v>
      </c>
      <c r="AM21" s="2484"/>
      <c r="AN21" s="2484" t="str">
        <f>申告書記入イメージ!AT66</f>
        <v>6</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6</v>
      </c>
      <c r="CC21" s="2482"/>
      <c r="CD21" s="2482" t="str">
        <f>申告書記入イメージ!CS66</f>
        <v>9</v>
      </c>
      <c r="CE21" s="2482"/>
      <c r="CF21" s="2482" t="str">
        <f>申告書記入イメージ!CV66</f>
        <v>0</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4</v>
      </c>
      <c r="AM26" s="2484"/>
      <c r="AN26" s="2484" t="str">
        <f>申告書記入イメージ!AT76</f>
        <v>6</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6</v>
      </c>
      <c r="CC31" s="2483"/>
      <c r="CD31" s="2483" t="str">
        <f>申告書記入イメージ!CS88</f>
        <v>9</v>
      </c>
      <c r="CE31" s="2483"/>
      <c r="CF31" s="2483" t="str">
        <f>申告書記入イメージ!CV88</f>
        <v>0</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4</v>
      </c>
      <c r="AM33" s="2484"/>
      <c r="AN33" s="2484" t="str">
        <f>申告書記入イメージ!AT93</f>
        <v>6</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6</v>
      </c>
      <c r="CC33" s="2482"/>
      <c r="CD33" s="2482" t="str">
        <f>申告書記入イメージ!CS93</f>
        <v>9</v>
      </c>
      <c r="CE33" s="2482"/>
      <c r="CF33" s="2482" t="str">
        <f>申告書記入イメージ!CV93</f>
        <v>0</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690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690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f>IF(申告書記入イメージ!AM137=0,"",申告書記入イメージ!AM137)</f>
        <v>690</v>
      </c>
      <c r="AF49" s="2376"/>
      <c r="AG49" s="2376"/>
      <c r="AH49" s="2376"/>
      <c r="AI49" s="2376"/>
      <c r="AJ49" s="2376"/>
      <c r="AK49" s="2376"/>
      <c r="AL49" s="2376"/>
      <c r="AM49" s="2376"/>
      <c r="AN49" s="2376"/>
      <c r="AO49" s="472" t="s">
        <v>15</v>
      </c>
      <c r="AP49" s="603"/>
      <c r="AQ49" s="2375">
        <f>IF(申告書記入イメージ!BA137=0,"",申告書記入イメージ!BA137)</f>
        <v>1380</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f>IF(申告書記入イメージ!CQ137=0,"",申告書記入イメージ!CQ137)</f>
        <v>1380</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46</v>
      </c>
      <c r="O5" s="319">
        <f>O6</f>
        <v>690</v>
      </c>
      <c r="P5" s="319"/>
      <c r="S5" s="331"/>
      <c r="T5" s="2709"/>
      <c r="U5" s="408" t="s">
        <v>303</v>
      </c>
      <c r="V5" s="409">
        <f>(INDEX(($V$11:$AB$13,$V$19:$AB$21,$V$26:$AB$28,$V$41:$AB$43,$V$48:$AB$50),1,1,$AD$5))</f>
        <v>690</v>
      </c>
      <c r="W5" s="409">
        <f>(INDEX(($V$11:$AB$13,$V$19:$AB$21,$V$26:$AB$28,$V$41:$AB$43,$V$48:$AB$50),1,2,$AD$5))</f>
        <v>0</v>
      </c>
      <c r="X5" s="409">
        <f>(INDEX(($V$11:$AB$13,$V$19:$AB$21,$V$26:$AB$28,$V$41:$AB$43,$V$48:$AB$50),1,3,$AD$5))</f>
        <v>690</v>
      </c>
      <c r="Y5" s="409">
        <f>(INDEX(($V$11:$AB$13,$V$19:$AB$21,$V$26:$AB$28,$V$41:$AB$43,$V$48:$AB$50),1,4,$AD$5))</f>
        <v>1380</v>
      </c>
      <c r="Z5" s="409">
        <f>(INDEX(($V$11:$AB$13,$V$19:$AB$21,$V$26:$AB$28,$V$41:$AB$43,$V$48:$AB$50),1,5,$AD$5))</f>
        <v>0</v>
      </c>
      <c r="AA5" s="409">
        <f>(INDEX(($V$11:$AB$13,$V$19:$AB$21,$V$26:$AB$28,$V$41:$AB$43,$V$48:$AB$50),1,6,$AD$5))</f>
        <v>0</v>
      </c>
      <c r="AB5" s="409">
        <f>(INDEX(($V$11:$AB$13,$V$19:$AB$21,$V$26:$AB$28,$V$41:$AB$43,$V$48:$AB$50),1,7,$AD$5))</f>
        <v>1380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46</v>
      </c>
      <c r="O6" s="842">
        <f>総括表!AV82</f>
        <v>690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690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46</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690</v>
      </c>
      <c r="W11" s="417">
        <f>IF(OR($O$5="",$O$5=0),0,IF($M$19&lt;=$O$5,0,IF($M$19-$O$5&gt;V11,V11,$M$19-$O$5)))</f>
        <v>0</v>
      </c>
      <c r="X11" s="417">
        <f>Z13</f>
        <v>690</v>
      </c>
      <c r="Y11" s="418">
        <f>IF(OR(V11="",V11=0),0,V11-W11+X11)</f>
        <v>1380</v>
      </c>
      <c r="Z11" s="418">
        <v>0</v>
      </c>
      <c r="AA11" s="417">
        <f>$O$10</f>
        <v>0</v>
      </c>
      <c r="AB11" s="417">
        <f>IF(OR(V11="",V11=0),0,Y11+AA11)</f>
        <v>1380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46</v>
      </c>
      <c r="O13" s="319">
        <f>O14</f>
        <v>690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690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46</v>
      </c>
      <c r="O14" s="319">
        <f>O6</f>
        <v>690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690</v>
      </c>
      <c r="W19" s="417">
        <v>0</v>
      </c>
      <c r="X19" s="417">
        <f>Z21</f>
        <v>690</v>
      </c>
      <c r="Y19" s="418">
        <f>IF(OR(V19="",V19=0),0,V19-W19+X19)</f>
        <v>1380</v>
      </c>
      <c r="Z19" s="418">
        <f>IF(OR($O$5="",$O$5=0),0,IF($M$19-$O$5&gt;$O$10,$O$10,IF($M$19-$O$5&lt;0,0,$M$19-$O$5)))</f>
        <v>0</v>
      </c>
      <c r="AA19" s="417">
        <f>$O$10-Z19</f>
        <v>0</v>
      </c>
      <c r="AB19" s="417">
        <f>IF(OR(V19="",V19=0),0,Y19+AA19)</f>
        <v>1380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690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690</v>
      </c>
      <c r="Q22" s="304" t="str">
        <f>IF(OR(M6=M9,AND(M6&gt;0,M9&gt;0)),"一元",IF(M9=0,"二元（労災）","二元（雇用）"))</f>
        <v>二元（労災）</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690</v>
      </c>
      <c r="M25" s="421">
        <f t="shared" si="4"/>
        <v>0</v>
      </c>
      <c r="N25" s="421">
        <f t="shared" si="4"/>
        <v>690</v>
      </c>
      <c r="O25" s="421">
        <f t="shared" si="4"/>
        <v>1380</v>
      </c>
      <c r="P25" s="421">
        <f t="shared" si="4"/>
        <v>0</v>
      </c>
      <c r="Q25" s="319">
        <f t="shared" si="4"/>
        <v>0</v>
      </c>
      <c r="R25" s="421">
        <f t="shared" si="4"/>
        <v>1380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690</v>
      </c>
      <c r="W26" s="417">
        <f>IF(OR($O$5="",$O$5=0),0,IF($M$19&lt;=$O$5,0,IF($M$19-$O$5&gt;V26,V26,$M$19-$O$5)))</f>
        <v>0</v>
      </c>
      <c r="X26" s="417">
        <f>Z28</f>
        <v>690</v>
      </c>
      <c r="Y26" s="418">
        <f>IF(OR(V26="",V26=0),0,IF(V26&lt;W26,V26,V26-W26+X26))</f>
        <v>1380</v>
      </c>
      <c r="Z26" s="418">
        <f>IF(OR($O$5="",$O$5=0),0,IF($M$19-$O$5&gt;W26,IF($M$19-$O$5-W26&gt;$O$10,$O$10,$M$19-$O$5-W26),0))</f>
        <v>0</v>
      </c>
      <c r="AA26" s="417">
        <f>$O$10-Z26</f>
        <v>0</v>
      </c>
      <c r="AB26" s="417">
        <f>IF(OR(V26="",V26=0),0,Y26+AA26)</f>
        <v>1380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690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200000</v>
      </c>
      <c r="D35" s="311">
        <f t="shared" si="1"/>
        <v>0</v>
      </c>
      <c r="E35" s="313">
        <f t="shared" si="0"/>
        <v>0</v>
      </c>
      <c r="F35" s="467">
        <f t="shared" si="2"/>
        <v>46</v>
      </c>
      <c r="G35" s="820">
        <f t="shared" si="3"/>
        <v>46</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690</v>
      </c>
      <c r="W41" s="417"/>
      <c r="X41" s="417">
        <f>Z43</f>
        <v>690</v>
      </c>
      <c r="Y41" s="418">
        <f>IF(OR(V41="",V41=0),0,V41-W41+X41)</f>
        <v>1380</v>
      </c>
      <c r="Z41" s="418">
        <v>0</v>
      </c>
      <c r="AA41" s="417">
        <f>$O$10</f>
        <v>0</v>
      </c>
      <c r="AB41" s="417">
        <f>IF(OR(V41="",V41=0),0,Y41+AA41)</f>
        <v>1380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690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690</v>
      </c>
      <c r="W48" s="632"/>
      <c r="X48" s="417">
        <f>Z50</f>
        <v>690</v>
      </c>
      <c r="Y48" s="418">
        <f>IF(OR(V48="",V48=0),0,V48-W48+X48)</f>
        <v>1380</v>
      </c>
      <c r="Z48" s="418">
        <v>0</v>
      </c>
      <c r="AA48" s="417">
        <f>$O$10</f>
        <v>0</v>
      </c>
      <c r="AB48" s="417">
        <f>IF(OR(V48="",V48=0),0,Y48+AA48)</f>
        <v>1380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690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f>'報告書（事業主控）'!AV16</f>
        <v>45383</v>
      </c>
      <c r="D65" s="304" t="str">
        <f>IF(E65&lt;&gt;"31 水力発電施設、ずい道等新設事業","",IF('報告書（事業主控）'!AX16=11,1,IF('報告書（事業主控）'!AX16=13,2,IF('報告書（事業主控）'!AX16=15,3,IF('報告書（事業主控）'!AX16=17,4,"")))))</f>
        <v/>
      </c>
      <c r="E65" s="304" t="str">
        <f>'報告書（事業主控）'!$F$26</f>
        <v>37 その他の建設事業</v>
      </c>
      <c r="F65" s="304" t="str">
        <f>'報告書（事業主控）'!AW16</f>
        <v>4</v>
      </c>
      <c r="G65" s="304">
        <f>IF(OR(LEFT(E65,2)="31",LEFT(E65,2)="34",LEFT(E65,2)="36",LEFT(E65,2)="37"),VLOOKUP(E65,労務比率2,'報告書（事業主控）'!AX16,FALSE),VLOOKUP(E65,労務比率,'報告書（事業主控）'!AX16,FALSE))</f>
        <v>23</v>
      </c>
      <c r="H65" s="304">
        <f>IF(OR(LEFT(E65,2)="31",LEFT(E65,2)="34",LEFT(E65,2)="36",LEFT(E65,2)="37"),VLOOKUP(E65,労務比率2,'報告書（事業主控）'!AX16+1,FALSE),VLOOKUP(E65,労務比率,'報告書（事業主控）'!AX16+1,FALSE))</f>
        <v>15</v>
      </c>
      <c r="I65" s="304">
        <f>'報告書（事業主控）'!AH17</f>
        <v>200000</v>
      </c>
      <c r="J65" s="304">
        <f>'報告書（事業主控）'!AH16</f>
        <v>0</v>
      </c>
      <c r="K65" s="304">
        <f>'報告書（事業主控）'!AN16</f>
        <v>0</v>
      </c>
      <c r="L65" s="304">
        <f>IF(ISERROR(INT((ROUNDDOWN(I65*G65/100,0)+K65)/1000)),0,INT((ROUNDDOWN(I65*G65/100,0)+K65)/1000))</f>
        <v>46</v>
      </c>
      <c r="M65" s="304">
        <f t="shared" ref="M65:M128" si="11">IF(ISERROR(L65*H65),0,L65*H65)</f>
        <v>690</v>
      </c>
      <c r="N65" s="304">
        <f>IF(R65=1,0,I65)</f>
        <v>200000</v>
      </c>
      <c r="O65" s="304">
        <f t="shared" ref="O65:O128" si="12">IF(I65=N65,IF(ISERROR(ROUNDDOWN(I65*G65/100,0)+K65),0,ROUNDDOWN(I65*G65/100,0)+K65),0)</f>
        <v>46000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t="str">
        <f>'報告書（事業主控）'!$F$26</f>
        <v>37 その他の建設事業</v>
      </c>
      <c r="F66" s="304" t="str">
        <f>'報告書（事業主控）'!AW18</f>
        <v>4</v>
      </c>
      <c r="G66" s="304">
        <f>IF(OR(LEFT(E66,2)="31",LEFT(E66,2)="34",LEFT(E66,2)="36",LEFT(E66,2)="37"),VLOOKUP(E66,労務比率2,'報告書（事業主控）'!AX18,FALSE),VLOOKUP(E66,労務比率,'報告書（事業主控）'!AX18,FALSE))</f>
        <v>23</v>
      </c>
      <c r="H66" s="304">
        <f>IF(OR(LEFT(E66,2)="31",LEFT(E66,2)="34",LEFT(E66,2)="36",LEFT(E66,2)="37"),VLOOKUP(E66,労務比率2,'報告書（事業主控）'!AX18+1,FALSE),VLOOKUP(E66,労務比率,'報告書（事業主控）'!AX18+1,FALSE))</f>
        <v>15</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t="str">
        <f>'報告書（事業主控）'!$F$26</f>
        <v>37 その他の建設事業</v>
      </c>
      <c r="F67" s="304" t="str">
        <f>'報告書（事業主控）'!AW20</f>
        <v>4</v>
      </c>
      <c r="G67" s="304">
        <f>IF(OR(LEFT(E67,2)="31",LEFT(E67,2)="34",LEFT(E67,2)="36",LEFT(E67,2)="37"),VLOOKUP(E67,労務比率2,'報告書（事業主控）'!AX20,FALSE),VLOOKUP(E67,労務比率,'報告書（事業主控）'!AX20,FALSE))</f>
        <v>23</v>
      </c>
      <c r="H67" s="304">
        <f>IF(OR(LEFT(E67,2)="31",LEFT(E67,2)="34",LEFT(E67,2)="36",LEFT(E67,2)="37"),VLOOKUP(E67,労務比率2,'報告書（事業主控）'!AX20+1,FALSE),VLOOKUP(E67,労務比率,'報告書（事業主控）'!AX20+1,FALSE))</f>
        <v>15</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t="str">
        <f>'報告書（事業主控）'!$F$26</f>
        <v>37 その他の建設事業</v>
      </c>
      <c r="F68" s="304" t="str">
        <f>'報告書（事業主控）'!AW22</f>
        <v>4</v>
      </c>
      <c r="G68" s="304">
        <f>IF(OR(LEFT(E68,2)="31",LEFT(E68,2)="34",LEFT(E68,2)="36",LEFT(E68,2)="37"),VLOOKUP(E68,労務比率2,'報告書（事業主控）'!AX22,FALSE),VLOOKUP(E68,労務比率,'報告書（事業主控）'!AX22,FALSE))</f>
        <v>23</v>
      </c>
      <c r="H68" s="304">
        <f>IF(OR(LEFT(E68,2)="31",LEFT(E68,2)="34",LEFT(E68,2)="36",LEFT(E68,2)="37"),VLOOKUP(E68,労務比率2,'報告書（事業主控）'!AX22+1,FALSE),VLOOKUP(E68,労務比率,'報告書（事業主控）'!AX22+1,FALSE))</f>
        <v>15</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t="str">
        <f>'報告書（事業主控）'!$F$26</f>
        <v>37 その他の建設事業</v>
      </c>
      <c r="F69" s="304" t="str">
        <f>'報告書（事業主控）'!AW24</f>
        <v>4</v>
      </c>
      <c r="G69" s="304">
        <f>IF(OR(LEFT(E69,2)="31",LEFT(E69,2)="34",LEFT(E69,2)="36",LEFT(E69,2)="37"),VLOOKUP(E69,労務比率2,'報告書（事業主控）'!AX24,FALSE),VLOOKUP(E69,労務比率,'報告書（事業主控）'!AX24,FALSE))</f>
        <v>23</v>
      </c>
      <c r="H69" s="304">
        <f>IF(OR(LEFT(E69,2)="31",LEFT(E69,2)="34",LEFT(E69,2)="36",LEFT(E69,2)="37"),VLOOKUP(E69,労務比率2,'報告書（事業主控）'!AX24+1,FALSE),VLOOKUP(E69,労務比率,'報告書（事業主控）'!AX24+1,FALSE))</f>
        <v>15</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2025-04-08T02:42:38Z</dcterms:created>
  <dcterms:modified xsi:type="dcterms:W3CDTF">2025-04-08T02:43:01Z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